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<sst xmlns="http://schemas.openxmlformats.org/spreadsheetml/2006/main" count="3117" uniqueCount="2074">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</sst>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998</v>
      </c>
      <c r="O6" s="1008"/>
      <c r="P6" s="1045">
        <f>OTCHET!F9</f>
        <v>43677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891732</v>
      </c>
      <c r="J51" s="1102">
        <f>+IF(OR($P$2=98,$P$2=42,$P$2=96,$P$2=97),$Q51,0)</f>
        <v>439105</v>
      </c>
      <c r="K51" s="1095"/>
      <c r="L51" s="1102">
        <f>+IF($P$2=33,$Q51,0)</f>
        <v>0</v>
      </c>
      <c r="M51" s="1095"/>
      <c r="N51" s="1132">
        <f>+ROUND(+G51+J51+L51,0)</f>
        <v>439105</v>
      </c>
      <c r="O51" s="1097"/>
      <c r="P51" s="1101">
        <f>+ROUND(OTCHET!E205-SUM(OTCHET!E217:E219)+OTCHET!E271+IF(+OR(OTCHET!$F$12=5500,OTCHET!$F$12=5600),0,+OTCHET!E297),0)</f>
        <v>891732</v>
      </c>
      <c r="Q51" s="1102">
        <f>+ROUND(OTCHET!L205-SUM(OTCHET!L217:L219)+OTCHET!L271+IF(+OR(OTCHET!$F$12=5500,OTCHET!$F$12=5600),0,+OTCHET!L297),0)</f>
        <v>439105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100209</v>
      </c>
      <c r="J54" s="1120">
        <f>+IF(OR($P$2=98,$P$2=42,$P$2=96,$P$2=97),$Q54,0)</f>
        <v>100209</v>
      </c>
      <c r="K54" s="1095"/>
      <c r="L54" s="1120">
        <f>+IF($P$2=33,$Q54,0)</f>
        <v>0</v>
      </c>
      <c r="M54" s="1095"/>
      <c r="N54" s="1121">
        <f>+ROUND(+G54+J54+L54,0)</f>
        <v>100209</v>
      </c>
      <c r="O54" s="1097"/>
      <c r="P54" s="1119">
        <f>+ROUND(OTCHET!E187+OTCHET!E190,0)</f>
        <v>100209</v>
      </c>
      <c r="Q54" s="1120">
        <f>+ROUND(OTCHET!L187+OTCHET!L190,0)</f>
        <v>100209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14555</v>
      </c>
      <c r="J55" s="1120">
        <f>+IF(OR($P$2=98,$P$2=42,$P$2=96,$P$2=97),$Q55,0)</f>
        <v>14555</v>
      </c>
      <c r="K55" s="1095"/>
      <c r="L55" s="1120">
        <f>+IF($P$2=33,$Q55,0)</f>
        <v>0</v>
      </c>
      <c r="M55" s="1095"/>
      <c r="N55" s="1121">
        <f>+ROUND(+G55+J55+L55,0)</f>
        <v>14555</v>
      </c>
      <c r="O55" s="1097"/>
      <c r="P55" s="1119">
        <f>+ROUND(OTCHET!E196+OTCHET!E204,0)</f>
        <v>14555</v>
      </c>
      <c r="Q55" s="1120">
        <f>+ROUND(OTCHET!L196+OTCHET!L204,0)</f>
        <v>14555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1006496</v>
      </c>
      <c r="J56" s="1208">
        <f>+ROUND(+SUM(J51:J55),0)</f>
        <v>553869</v>
      </c>
      <c r="K56" s="1095"/>
      <c r="L56" s="1208">
        <f>+ROUND(+SUM(L51:L55),0)</f>
        <v>0</v>
      </c>
      <c r="M56" s="1095"/>
      <c r="N56" s="1209">
        <f>+ROUND(+SUM(N51:N55),0)</f>
        <v>553869</v>
      </c>
      <c r="O56" s="1097"/>
      <c r="P56" s="1207">
        <f>+ROUND(+SUM(P51:P55),0)</f>
        <v>1006496</v>
      </c>
      <c r="Q56" s="1208">
        <f>+ROUND(+SUM(Q51:Q55),0)</f>
        <v>553869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1006496</v>
      </c>
      <c r="J77" s="1233">
        <f>+ROUND(J56+J63+J67+J71+J75,0)</f>
        <v>553869</v>
      </c>
      <c r="K77" s="1095"/>
      <c r="L77" s="1233">
        <f>+ROUND(L56+L63+L67+L71+L75,0)</f>
        <v>0</v>
      </c>
      <c r="M77" s="1095"/>
      <c r="N77" s="1234">
        <f>+ROUND(N56+N63+N67+N71+N75,0)</f>
        <v>553869</v>
      </c>
      <c r="O77" s="1097"/>
      <c r="P77" s="1231">
        <f>+ROUND(P56+P63+P67+P71+P75,0)</f>
        <v>1006496</v>
      </c>
      <c r="Q77" s="1232">
        <f>+ROUND(Q56+Q63+Q67+Q71+Q75,0)</f>
        <v>553869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686751</v>
      </c>
      <c r="J79" s="1108">
        <f>+IF(OR($P$2=98,$P$2=42,$P$2=96,$P$2=97),$Q79,0)</f>
        <v>187024</v>
      </c>
      <c r="K79" s="1095"/>
      <c r="L79" s="1108">
        <f>+IF($P$2=33,$Q79,0)</f>
        <v>0</v>
      </c>
      <c r="M79" s="1095"/>
      <c r="N79" s="1109">
        <f>+ROUND(+G79+J79+L79,0)</f>
        <v>187024</v>
      </c>
      <c r="O79" s="1097"/>
      <c r="P79" s="1107">
        <f>+ROUND(OTCHET!E419,0)</f>
        <v>686751</v>
      </c>
      <c r="Q79" s="1108">
        <f>+ROUND(OTCHET!L419,0)</f>
        <v>187024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-91746</v>
      </c>
      <c r="J80" s="1120">
        <f>+IF(OR($P$2=98,$P$2=42,$P$2=96,$P$2=97),$Q80,0)</f>
        <v>-39102</v>
      </c>
      <c r="K80" s="1095"/>
      <c r="L80" s="1120">
        <f>+IF($P$2=33,$Q80,0)</f>
        <v>0</v>
      </c>
      <c r="M80" s="1095"/>
      <c r="N80" s="1121">
        <f>+ROUND(+G80+J80+L80,0)</f>
        <v>-39102</v>
      </c>
      <c r="O80" s="1097"/>
      <c r="P80" s="1119">
        <f>+ROUND(OTCHET!E429,0)</f>
        <v>-91746</v>
      </c>
      <c r="Q80" s="1120">
        <f>+ROUND(OTCHET!L429,0)</f>
        <v>-39102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595005</v>
      </c>
      <c r="J81" s="1242">
        <f>+ROUND(J79+J80,0)</f>
        <v>147922</v>
      </c>
      <c r="K81" s="1095"/>
      <c r="L81" s="1242">
        <f>+ROUND(L79+L80,0)</f>
        <v>0</v>
      </c>
      <c r="M81" s="1095"/>
      <c r="N81" s="1243">
        <f>+ROUND(N79+N80,0)</f>
        <v>147922</v>
      </c>
      <c r="O81" s="1097"/>
      <c r="P81" s="1241">
        <f>+ROUND(P79+P80,0)</f>
        <v>595005</v>
      </c>
      <c r="Q81" s="1242">
        <f>+ROUND(Q79+Q80,0)</f>
        <v>147922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-405947</v>
      </c>
      <c r="K83" s="1095"/>
      <c r="L83" s="1255">
        <f>+ROUND(L48,0)-ROUND(L77,0)+ROUND(L81,0)</f>
        <v>0</v>
      </c>
      <c r="M83" s="1095"/>
      <c r="N83" s="1256">
        <f>+ROUND(N48,0)-ROUND(N77,0)+ROUND(N81,0)</f>
        <v>-405947</v>
      </c>
      <c r="O83" s="1257"/>
      <c r="P83" s="1254">
        <f>+ROUND(P48,0)-ROUND(P77,0)+ROUND(P81,0)</f>
        <v>-411491</v>
      </c>
      <c r="Q83" s="1255">
        <f>+ROUND(Q48,0)-ROUND(Q77,0)+ROUND(Q81,0)</f>
        <v>-405947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405947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405947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405947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-5544</v>
      </c>
      <c r="K123" s="1095"/>
      <c r="L123" s="1120">
        <f>+IF($P$2=33,$Q123,0)</f>
        <v>0</v>
      </c>
      <c r="M123" s="1095"/>
      <c r="N123" s="1121">
        <f>+ROUND(+G123+J123+L123,0)</f>
        <v>-5544</v>
      </c>
      <c r="O123" s="1097"/>
      <c r="P123" s="1119">
        <f>+ROUND(OTCHET!E524,0)</f>
        <v>0</v>
      </c>
      <c r="Q123" s="1120">
        <f>+ROUND(OTCHET!L524,0)</f>
        <v>-5544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-5544</v>
      </c>
      <c r="K127" s="1095"/>
      <c r="L127" s="1242">
        <f>+ROUND(+SUM(L122:L126),0)</f>
        <v>0</v>
      </c>
      <c r="M127" s="1095"/>
      <c r="N127" s="1243">
        <f>+ROUND(+SUM(N122:N126),0)</f>
        <v>-5544</v>
      </c>
      <c r="O127" s="1097"/>
      <c r="P127" s="1241">
        <f>+ROUND(+SUM(P122:P126),0)</f>
        <v>0</v>
      </c>
      <c r="Q127" s="1242">
        <f>+ROUND(+SUM(Q122:Q126),0)</f>
        <v>-5544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-411491</v>
      </c>
      <c r="K132" s="1095"/>
      <c r="L132" s="1295">
        <f>+ROUND(+L131-L129-L130,0)</f>
        <v>0</v>
      </c>
      <c r="M132" s="1095"/>
      <c r="N132" s="1296">
        <f>+ROUND(+N131-N129-N130,0)</f>
        <v>-411491</v>
      </c>
      <c r="O132" s="1097"/>
      <c r="P132" s="1294">
        <f>+ROUND(+P131-P129-P130,0)</f>
        <v>-411491</v>
      </c>
      <c r="Q132" s="1295">
        <f>+ROUND(+Q131-Q129-Q130,0)</f>
        <v>-411491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43677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1006496</v>
      </c>
      <c r="F38" s="847">
        <f>F39+F43+F44+F46+SUM(F48:F52)+F55</f>
        <v>553869</v>
      </c>
      <c r="G38" s="848">
        <f>G39+G43+G44+G46+SUM(G48:G52)+G55</f>
        <v>89734</v>
      </c>
      <c r="H38" s="849">
        <f>H39+H43+H44+H46+SUM(H48:H52)+H55</f>
        <v>464135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114764</v>
      </c>
      <c r="F39" s="810">
        <f>SUM(F40:F42)</f>
        <v>114764</v>
      </c>
      <c r="G39" s="811">
        <f>SUM(G40:G42)</f>
        <v>89734</v>
      </c>
      <c r="H39" s="812">
        <f>SUM(H40:H42)</f>
        <v>25030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100209</v>
      </c>
      <c r="F41" s="1634">
        <f t="shared" si="1"/>
        <v>100209</v>
      </c>
      <c r="G41" s="1635">
        <f>OTCHET!I190</f>
        <v>75179</v>
      </c>
      <c r="H41" s="1636">
        <f>OTCHET!J190</f>
        <v>25030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14555</v>
      </c>
      <c r="F42" s="1634">
        <f t="shared" si="1"/>
        <v>14555</v>
      </c>
      <c r="G42" s="1635">
        <f>+OTCHET!I196+OTCHET!I204</f>
        <v>14555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891732</v>
      </c>
      <c r="F43" s="815">
        <f t="shared" si="1"/>
        <v>439105</v>
      </c>
      <c r="G43" s="816">
        <f>+OTCHET!I205+OTCHET!I223+OTCHET!I271</f>
        <v>0</v>
      </c>
      <c r="H43" s="817">
        <f>+OTCHET!J205+OTCHET!J223+OTCHET!J271</f>
        <v>439105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595005</v>
      </c>
      <c r="F56" s="892">
        <f>+F57+F58+F62</f>
        <v>147922</v>
      </c>
      <c r="G56" s="893">
        <f>+G57+G58+G62</f>
        <v>95278</v>
      </c>
      <c r="H56" s="894">
        <f>+H57+H58+H62</f>
        <v>52644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595005</v>
      </c>
      <c r="F58" s="901">
        <f t="shared" si="2"/>
        <v>147922</v>
      </c>
      <c r="G58" s="902">
        <f>+OTCHET!I383+OTCHET!I391+OTCHET!I396+OTCHET!I399+OTCHET!I402+OTCHET!I405+OTCHET!I406+OTCHET!I409+OTCHET!I422+OTCHET!I423+OTCHET!I424+OTCHET!I425+OTCHET!I426</f>
        <v>95278</v>
      </c>
      <c r="H58" s="903">
        <f>+OTCHET!J383+OTCHET!J391+OTCHET!J396+OTCHET!J399+OTCHET!J402+OTCHET!J405+OTCHET!J406+OTCHET!J409+OTCHET!J422+OTCHET!J423+OTCHET!J424+OTCHET!J425+OTCHET!J426</f>
        <v>52644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-91746</v>
      </c>
      <c r="F59" s="905">
        <f t="shared" si="2"/>
        <v>-39102</v>
      </c>
      <c r="G59" s="906">
        <f>+OTCHET!I422+OTCHET!I423+OTCHET!I424+OTCHET!I425+OTCHET!I426</f>
        <v>0</v>
      </c>
      <c r="H59" s="907">
        <f>+OTCHET!J422+OTCHET!J423+OTCHET!J424+OTCHET!J425+OTCHET!J426</f>
        <v>-39102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-405947</v>
      </c>
      <c r="G64" s="928">
        <f>+G22-G38+G56-G63</f>
        <v>5544</v>
      </c>
      <c r="H64" s="929">
        <f>+H22-H38+H56-H63</f>
        <v>-411491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405947</v>
      </c>
      <c r="G66" s="938">
        <f>SUM(+G68+G76+G77+G84+G85+G86+G89+G90+G91+G92+G93+G94+G95)</f>
        <v>-5544</v>
      </c>
      <c r="H66" s="939">
        <f>SUM(+H68+H76+H77+H84+H85+H86+H89+H90+H91+H92+H93+H94+H95)</f>
        <v>411491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-5544</v>
      </c>
      <c r="G86" s="906">
        <f>+G87+G88</f>
        <v>-5544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-5544</v>
      </c>
      <c r="G88" s="964">
        <f>+OTCHET!I521+OTCHET!I524+OTCHET!I544</f>
        <v>-5544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43677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100209</v>
      </c>
      <c r="F190" s="274">
        <f t="shared" si="44"/>
        <v>75179</v>
      </c>
      <c r="G190" s="275">
        <f t="shared" si="44"/>
        <v>25030</v>
      </c>
      <c r="H190" s="276">
        <f t="shared" si="44"/>
        <v>0</v>
      </c>
      <c r="I190" s="274">
        <f t="shared" si="44"/>
        <v>75179</v>
      </c>
      <c r="J190" s="275">
        <f t="shared" si="44"/>
        <v>25030</v>
      </c>
      <c r="K190" s="276">
        <f t="shared" si="44"/>
        <v>0</v>
      </c>
      <c r="L190" s="273">
        <f t="shared" si="44"/>
        <v>100209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75179</v>
      </c>
      <c r="F191" s="282">
        <f t="shared" si="45"/>
        <v>75179</v>
      </c>
      <c r="G191" s="283">
        <f t="shared" si="45"/>
        <v>0</v>
      </c>
      <c r="H191" s="284">
        <f t="shared" si="45"/>
        <v>0</v>
      </c>
      <c r="I191" s="282">
        <f t="shared" si="45"/>
        <v>75179</v>
      </c>
      <c r="J191" s="283">
        <f t="shared" si="45"/>
        <v>0</v>
      </c>
      <c r="K191" s="284">
        <f t="shared" si="45"/>
        <v>0</v>
      </c>
      <c r="L191" s="281">
        <f t="shared" si="45"/>
        <v>75179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25030</v>
      </c>
      <c r="F192" s="296">
        <f t="shared" si="45"/>
        <v>0</v>
      </c>
      <c r="G192" s="297">
        <f t="shared" si="45"/>
        <v>25030</v>
      </c>
      <c r="H192" s="298">
        <f t="shared" si="45"/>
        <v>0</v>
      </c>
      <c r="I192" s="296">
        <f t="shared" si="45"/>
        <v>0</v>
      </c>
      <c r="J192" s="297">
        <f t="shared" si="45"/>
        <v>25030</v>
      </c>
      <c r="K192" s="298">
        <f t="shared" si="45"/>
        <v>0</v>
      </c>
      <c r="L192" s="295">
        <f t="shared" si="45"/>
        <v>25030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14555</v>
      </c>
      <c r="F196" s="274">
        <f t="shared" si="46"/>
        <v>14555</v>
      </c>
      <c r="G196" s="275">
        <f t="shared" si="46"/>
        <v>0</v>
      </c>
      <c r="H196" s="276">
        <f t="shared" si="46"/>
        <v>0</v>
      </c>
      <c r="I196" s="274">
        <f t="shared" si="46"/>
        <v>14555</v>
      </c>
      <c r="J196" s="275">
        <f t="shared" si="46"/>
        <v>0</v>
      </c>
      <c r="K196" s="276">
        <f t="shared" si="46"/>
        <v>0</v>
      </c>
      <c r="L196" s="273">
        <f t="shared" si="46"/>
        <v>14555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8813</v>
      </c>
      <c r="F197" s="282">
        <f t="shared" si="47"/>
        <v>8813</v>
      </c>
      <c r="G197" s="283">
        <f t="shared" si="47"/>
        <v>0</v>
      </c>
      <c r="H197" s="284">
        <f t="shared" si="47"/>
        <v>0</v>
      </c>
      <c r="I197" s="282">
        <f t="shared" si="47"/>
        <v>8813</v>
      </c>
      <c r="J197" s="283">
        <f t="shared" si="47"/>
        <v>0</v>
      </c>
      <c r="K197" s="284">
        <f t="shared" si="47"/>
        <v>0</v>
      </c>
      <c r="L197" s="281">
        <f t="shared" si="47"/>
        <v>8813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3708</v>
      </c>
      <c r="F200" s="296">
        <f t="shared" si="47"/>
        <v>3708</v>
      </c>
      <c r="G200" s="297">
        <f t="shared" si="47"/>
        <v>0</v>
      </c>
      <c r="H200" s="298">
        <f t="shared" si="47"/>
        <v>0</v>
      </c>
      <c r="I200" s="296">
        <f t="shared" si="47"/>
        <v>3708</v>
      </c>
      <c r="J200" s="297">
        <f t="shared" si="47"/>
        <v>0</v>
      </c>
      <c r="K200" s="298">
        <f t="shared" si="47"/>
        <v>0</v>
      </c>
      <c r="L200" s="295">
        <f t="shared" si="47"/>
        <v>3708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2034</v>
      </c>
      <c r="F201" s="296">
        <f t="shared" si="47"/>
        <v>2034</v>
      </c>
      <c r="G201" s="297">
        <f t="shared" si="47"/>
        <v>0</v>
      </c>
      <c r="H201" s="298">
        <f t="shared" si="47"/>
        <v>0</v>
      </c>
      <c r="I201" s="296">
        <f t="shared" si="47"/>
        <v>2034</v>
      </c>
      <c r="J201" s="297">
        <f t="shared" si="47"/>
        <v>0</v>
      </c>
      <c r="K201" s="298">
        <f t="shared" si="47"/>
        <v>0</v>
      </c>
      <c r="L201" s="295">
        <f t="shared" si="47"/>
        <v>2034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891732</v>
      </c>
      <c r="F205" s="274">
        <f t="shared" si="48"/>
        <v>5544</v>
      </c>
      <c r="G205" s="275">
        <f t="shared" si="48"/>
        <v>886188</v>
      </c>
      <c r="H205" s="276">
        <f t="shared" si="48"/>
        <v>0</v>
      </c>
      <c r="I205" s="274">
        <f t="shared" si="48"/>
        <v>0</v>
      </c>
      <c r="J205" s="275">
        <f t="shared" si="48"/>
        <v>439105</v>
      </c>
      <c r="K205" s="276">
        <f t="shared" si="48"/>
        <v>0</v>
      </c>
      <c r="L205" s="310">
        <f t="shared" si="48"/>
        <v>439105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421942</v>
      </c>
      <c r="K206" s="284">
        <f t="shared" si="49"/>
        <v>0</v>
      </c>
      <c r="L206" s="281">
        <f t="shared" si="49"/>
        <v>421942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285</v>
      </c>
      <c r="F210" s="296">
        <f t="shared" si="49"/>
        <v>0</v>
      </c>
      <c r="G210" s="297">
        <f t="shared" si="49"/>
        <v>285</v>
      </c>
      <c r="H210" s="298">
        <f t="shared" si="49"/>
        <v>0</v>
      </c>
      <c r="I210" s="296">
        <f t="shared" si="49"/>
        <v>0</v>
      </c>
      <c r="J210" s="297">
        <f t="shared" si="49"/>
        <v>285</v>
      </c>
      <c r="K210" s="298">
        <f t="shared" si="49"/>
        <v>0</v>
      </c>
      <c r="L210" s="295">
        <f t="shared" si="49"/>
        <v>285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22422</v>
      </c>
      <c r="F212" s="321">
        <f t="shared" si="49"/>
        <v>5544</v>
      </c>
      <c r="G212" s="322">
        <f t="shared" si="49"/>
        <v>16878</v>
      </c>
      <c r="H212" s="323">
        <f t="shared" si="49"/>
        <v>0</v>
      </c>
      <c r="I212" s="321">
        <f t="shared" si="49"/>
        <v>0</v>
      </c>
      <c r="J212" s="322">
        <f t="shared" si="49"/>
        <v>16878</v>
      </c>
      <c r="K212" s="323">
        <f t="shared" si="49"/>
        <v>0</v>
      </c>
      <c r="L212" s="320">
        <f t="shared" si="49"/>
        <v>16878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40645</v>
      </c>
      <c r="F222" s="288">
        <f t="shared" si="50"/>
        <v>0</v>
      </c>
      <c r="G222" s="289">
        <f t="shared" si="50"/>
        <v>40645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1006496</v>
      </c>
      <c r="F301" s="396">
        <f t="shared" si="77"/>
        <v>95278</v>
      </c>
      <c r="G301" s="397">
        <f t="shared" si="77"/>
        <v>911218</v>
      </c>
      <c r="H301" s="398">
        <f t="shared" si="77"/>
        <v>0</v>
      </c>
      <c r="I301" s="396">
        <f t="shared" si="77"/>
        <v>89734</v>
      </c>
      <c r="J301" s="397">
        <f t="shared" si="77"/>
        <v>464135</v>
      </c>
      <c r="K301" s="398">
        <f t="shared" si="77"/>
        <v>0</v>
      </c>
      <c r="L301" s="395">
        <f t="shared" si="77"/>
        <v>553869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401</v>
      </c>
      <c r="F396" s="459">
        <f t="shared" si="88"/>
        <v>469</v>
      </c>
      <c r="G396" s="473">
        <f t="shared" si="88"/>
        <v>-68</v>
      </c>
      <c r="H396" s="445">
        <f>SUM(H397:H398)</f>
        <v>0</v>
      </c>
      <c r="I396" s="459">
        <f t="shared" si="88"/>
        <v>469</v>
      </c>
      <c r="J396" s="444">
        <f t="shared" si="88"/>
        <v>-68</v>
      </c>
      <c r="K396" s="445">
        <f>SUM(K397:K398)</f>
        <v>0</v>
      </c>
      <c r="L396" s="1378">
        <f t="shared" si="88"/>
        <v>401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469</v>
      </c>
      <c r="F397" s="152">
        <v>469</v>
      </c>
      <c r="G397" s="153"/>
      <c r="H397" s="154">
        <v>0</v>
      </c>
      <c r="I397" s="152">
        <v>469</v>
      </c>
      <c r="J397" s="153"/>
      <c r="K397" s="154">
        <v>0</v>
      </c>
      <c r="L397" s="1379">
        <f>I397+J397+K397</f>
        <v>469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686350</v>
      </c>
      <c r="F399" s="459">
        <f t="shared" si="89"/>
        <v>94809</v>
      </c>
      <c r="G399" s="473">
        <f t="shared" si="89"/>
        <v>591541</v>
      </c>
      <c r="H399" s="445">
        <f>SUM(H400:H401)</f>
        <v>0</v>
      </c>
      <c r="I399" s="459">
        <f t="shared" si="89"/>
        <v>94809</v>
      </c>
      <c r="J399" s="444">
        <f t="shared" si="89"/>
        <v>91814</v>
      </c>
      <c r="K399" s="445">
        <f>SUM(K400:K401)</f>
        <v>0</v>
      </c>
      <c r="L399" s="1378">
        <f t="shared" si="89"/>
        <v>186623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686350</v>
      </c>
      <c r="F400" s="158">
        <v>94809</v>
      </c>
      <c r="G400" s="159">
        <v>591541</v>
      </c>
      <c r="H400" s="154">
        <v>0</v>
      </c>
      <c r="I400" s="158">
        <v>94809</v>
      </c>
      <c r="J400" s="159">
        <v>91814</v>
      </c>
      <c r="K400" s="154">
        <v>0</v>
      </c>
      <c r="L400" s="1379">
        <f>I400+J400+K400</f>
        <v>186623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686751</v>
      </c>
      <c r="F419" s="495">
        <f t="shared" si="95"/>
        <v>95278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95278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187024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-91746</v>
      </c>
      <c r="F424" s="483">
        <v>0</v>
      </c>
      <c r="G424" s="484">
        <v>-91746</v>
      </c>
      <c r="H424" s="1475">
        <v>0</v>
      </c>
      <c r="I424" s="483">
        <v>0</v>
      </c>
      <c r="J424" s="484">
        <v>-39102</v>
      </c>
      <c r="K424" s="1475">
        <v>0</v>
      </c>
      <c r="L424" s="1378">
        <f>I424+J424+K424</f>
        <v>-39102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-91746</v>
      </c>
      <c r="F429" s="513">
        <f t="shared" si="97"/>
        <v>0</v>
      </c>
      <c r="G429" s="514">
        <f t="shared" si="97"/>
        <v>-91746</v>
      </c>
      <c r="H429" s="515">
        <f>SUM(H422,H423,H424,H425,H426)</f>
        <v>0</v>
      </c>
      <c r="I429" s="513">
        <f t="shared" si="97"/>
        <v>0</v>
      </c>
      <c r="J429" s="514">
        <f t="shared" si="97"/>
        <v>-39102</v>
      </c>
      <c r="K429" s="515">
        <f t="shared" si="97"/>
        <v>0</v>
      </c>
      <c r="L429" s="512">
        <f t="shared" si="97"/>
        <v>-39102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5544</v>
      </c>
      <c r="J445" s="547">
        <f t="shared" si="99"/>
        <v>-411491</v>
      </c>
      <c r="K445" s="548">
        <f t="shared" si="99"/>
        <v>0</v>
      </c>
      <c r="L445" s="549">
        <f t="shared" si="99"/>
        <v>-405947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-5544</v>
      </c>
      <c r="J446" s="554">
        <f t="shared" si="100"/>
        <v>411491</v>
      </c>
      <c r="K446" s="555">
        <f t="shared" si="100"/>
        <v>0</v>
      </c>
      <c r="L446" s="556">
        <f>+L597</f>
        <v>405947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-5544</v>
      </c>
      <c r="J524" s="580">
        <f t="shared" si="120"/>
        <v>0</v>
      </c>
      <c r="K524" s="581">
        <f t="shared" si="120"/>
        <v>0</v>
      </c>
      <c r="L524" s="578">
        <f t="shared" si="120"/>
        <v>-5544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>
        <v>-5544</v>
      </c>
      <c r="J527" s="159"/>
      <c r="K527" s="585">
        <v>0</v>
      </c>
      <c r="L527" s="1387">
        <f t="shared" si="116"/>
        <v>-5544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411491</v>
      </c>
      <c r="K566" s="581">
        <f t="shared" si="128"/>
        <v>0</v>
      </c>
      <c r="L566" s="578">
        <f t="shared" si="128"/>
        <v>411491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0</v>
      </c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-5544</v>
      </c>
      <c r="J597" s="664">
        <f t="shared" si="133"/>
        <v>411491</v>
      </c>
      <c r="K597" s="666">
        <f t="shared" si="133"/>
        <v>0</v>
      </c>
      <c r="L597" s="662">
        <f t="shared" si="133"/>
        <v>405947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98213</v>
      </c>
      <c r="D633" s="1452" t="s">
        <v>1225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5544</v>
      </c>
      <c r="F655" s="274">
        <f>SUM(F656:F672)</f>
        <v>5544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5544</v>
      </c>
      <c r="F662" s="454">
        <v>5544</v>
      </c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5544</v>
      </c>
      <c r="F752" s="396">
        <f>SUM(F637,F640,F646,F654,F655,F673,F677,F683,F686,F687,F688,F689,F690,F699,F705,F706,F707,F708,F715,F719,F720,F721,F722,F725,F726,F734,F737,F738,F743)+F748</f>
        <v>5544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43677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>
        <f>VLOOKUP(D771,OP_LIST2,2,FALSE)</f>
        <v>98315</v>
      </c>
      <c r="D771" s="1452" t="s">
        <v>1239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5524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5524</v>
      </c>
      <c r="D773" s="1452" t="s">
        <v>556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25030</v>
      </c>
      <c r="F778" s="274">
        <f>SUM(F779:F783)</f>
        <v>0</v>
      </c>
      <c r="G778" s="275">
        <f>SUM(G779:G783)</f>
        <v>25030</v>
      </c>
      <c r="H778" s="276">
        <f>SUM(H779:H783)</f>
        <v>0</v>
      </c>
      <c r="I778" s="274">
        <f>SUM(I779:I783)</f>
        <v>0</v>
      </c>
      <c r="J778" s="275">
        <f>SUM(J779:J783)</f>
        <v>25030</v>
      </c>
      <c r="K778" s="276">
        <f>SUM(K779:K783)</f>
        <v>0</v>
      </c>
      <c r="L778" s="273">
        <f>SUM(L779:L783)</f>
        <v>25030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25030</v>
      </c>
      <c r="F780" s="158"/>
      <c r="G780" s="159">
        <v>25030</v>
      </c>
      <c r="H780" s="1420"/>
      <c r="I780" s="158"/>
      <c r="J780" s="159">
        <v>25030</v>
      </c>
      <c r="K780" s="1420"/>
      <c r="L780" s="295">
        <f>I780+J780+K780</f>
        <v>25030</v>
      </c>
      <c r="M780" s="12">
        <f>(IF($E780&lt;&gt;0,$M$2,IF($L780&lt;&gt;0,$M$2,"")))</f>
        <v>1</v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886188</v>
      </c>
      <c r="F793" s="274">
        <f>SUM(F794:F810)</f>
        <v>0</v>
      </c>
      <c r="G793" s="275">
        <f>SUM(G794:G810)</f>
        <v>886188</v>
      </c>
      <c r="H793" s="276">
        <f>SUM(H794:H810)</f>
        <v>0</v>
      </c>
      <c r="I793" s="274">
        <f>SUM(I794:I810)</f>
        <v>0</v>
      </c>
      <c r="J793" s="275">
        <f>SUM(J794:J810)</f>
        <v>439105</v>
      </c>
      <c r="K793" s="276">
        <f>SUM(K794:K810)</f>
        <v>0</v>
      </c>
      <c r="L793" s="310">
        <f>SUM(L794:L810)</f>
        <v>439105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828380</v>
      </c>
      <c r="F794" s="152"/>
      <c r="G794" s="153">
        <v>828380</v>
      </c>
      <c r="H794" s="1418"/>
      <c r="I794" s="152"/>
      <c r="J794" s="153">
        <v>421942</v>
      </c>
      <c r="K794" s="1418"/>
      <c r="L794" s="281">
        <f>I794+J794+K794</f>
        <v>421942</v>
      </c>
      <c r="M794" s="12">
        <f>(IF($E794&lt;&gt;0,$M$2,IF($L794&lt;&gt;0,$M$2,"")))</f>
        <v>1</v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285</v>
      </c>
      <c r="F798" s="158"/>
      <c r="G798" s="159">
        <v>285</v>
      </c>
      <c r="H798" s="1420"/>
      <c r="I798" s="158"/>
      <c r="J798" s="159">
        <v>285</v>
      </c>
      <c r="K798" s="1420"/>
      <c r="L798" s="295">
        <f>I798+J798+K798</f>
        <v>285</v>
      </c>
      <c r="M798" s="12">
        <f>(IF($E798&lt;&gt;0,$M$2,IF($L798&lt;&gt;0,$M$2,"")))</f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16878</v>
      </c>
      <c r="F800" s="454"/>
      <c r="G800" s="455">
        <v>16878</v>
      </c>
      <c r="H800" s="1428"/>
      <c r="I800" s="454"/>
      <c r="J800" s="455">
        <v>16878</v>
      </c>
      <c r="K800" s="1428"/>
      <c r="L800" s="320">
        <f>I800+J800+K800</f>
        <v>16878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40645</v>
      </c>
      <c r="F810" s="173"/>
      <c r="G810" s="174">
        <v>40645</v>
      </c>
      <c r="H810" s="1421"/>
      <c r="I810" s="173"/>
      <c r="J810" s="174">
        <v>0</v>
      </c>
      <c r="K810" s="1421"/>
      <c r="L810" s="287">
        <f>I810+J810+K810</f>
        <v>0</v>
      </c>
      <c r="M810" s="12">
        <f>(IF($E810&lt;&gt;0,$M$2,IF($L810&lt;&gt;0,$M$2,"")))</f>
        <v>1</v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911218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911218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464135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464135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88" t="str">
        <f>$B$7</f>
        <v>ОТЧЕТНИ ДАННИ ПО ЕБК ЗА СМЕТКИТЕ ЗА СРЕДСТВАТА ОТ ЕВРОПЕЙСКИЯ СЪЮЗ - КСФ</v>
      </c>
      <c r="C897" s="1789"/>
      <c r="D897" s="178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0" t="str">
        <f>$B$9</f>
        <v>Симеоновград</v>
      </c>
      <c r="C899" s="1781"/>
      <c r="D899" s="1782"/>
      <c r="E899" s="115">
        <f>$E$9</f>
        <v>43466</v>
      </c>
      <c r="F899" s="226">
        <f>$F$9</f>
        <v>43677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39" t="str">
        <f>$B$12</f>
        <v>Симеоновград</v>
      </c>
      <c r="C902" s="1840"/>
      <c r="D902" s="1841"/>
      <c r="E902" s="410" t="s">
        <v>890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712</v>
      </c>
      <c r="E906" s="1824" t="s">
        <v>2050</v>
      </c>
      <c r="F906" s="1825"/>
      <c r="G906" s="1825"/>
      <c r="H906" s="1826"/>
      <c r="I906" s="1833" t="s">
        <v>2051</v>
      </c>
      <c r="J906" s="1834"/>
      <c r="K906" s="1834"/>
      <c r="L906" s="183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664" t="str">
        <f>VLOOKUP(D909,OP_LIST2,2,FALSE)</f>
        <v>98301</v>
      </c>
      <c r="D909" s="1452" t="s">
        <v>653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5532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5532</v>
      </c>
      <c r="D911" s="1452" t="s">
        <v>564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3" t="s">
        <v>744</v>
      </c>
      <c r="D913" s="181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09" t="s">
        <v>747</v>
      </c>
      <c r="D916" s="1810"/>
      <c r="E916" s="273">
        <f>SUM(E917:E921)</f>
        <v>75179</v>
      </c>
      <c r="F916" s="274">
        <f>SUM(F917:F921)</f>
        <v>75179</v>
      </c>
      <c r="G916" s="275">
        <f>SUM(G917:G921)</f>
        <v>0</v>
      </c>
      <c r="H916" s="276">
        <f>SUM(H917:H921)</f>
        <v>0</v>
      </c>
      <c r="I916" s="274">
        <f>SUM(I917:I921)</f>
        <v>75179</v>
      </c>
      <c r="J916" s="275">
        <f>SUM(J917:J921)</f>
        <v>0</v>
      </c>
      <c r="K916" s="276">
        <f>SUM(K917:K921)</f>
        <v>0</v>
      </c>
      <c r="L916" s="273">
        <f>SUM(L917:L921)</f>
        <v>75179</v>
      </c>
      <c r="M916" s="12">
        <f>(IF($E916&lt;&gt;0,$M$2,IF($L916&lt;&gt;0,$M$2,"")))</f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75179</v>
      </c>
      <c r="F917" s="152">
        <v>75179</v>
      </c>
      <c r="G917" s="153"/>
      <c r="H917" s="1418"/>
      <c r="I917" s="152">
        <v>75179</v>
      </c>
      <c r="J917" s="153"/>
      <c r="K917" s="1418"/>
      <c r="L917" s="281">
        <f>I917+J917+K917</f>
        <v>75179</v>
      </c>
      <c r="M917" s="12">
        <f>(IF($E917&lt;&gt;0,$M$2,IF($L917&lt;&gt;0,$M$2,"")))</f>
        <v>1</v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1" t="s">
        <v>194</v>
      </c>
      <c r="D922" s="1812"/>
      <c r="E922" s="273">
        <f>SUM(E923:E929)</f>
        <v>14555</v>
      </c>
      <c r="F922" s="274">
        <f>SUM(F923:F929)</f>
        <v>14555</v>
      </c>
      <c r="G922" s="275">
        <f>SUM(G923:G929)</f>
        <v>0</v>
      </c>
      <c r="H922" s="276">
        <f>SUM(H923:H929)</f>
        <v>0</v>
      </c>
      <c r="I922" s="274">
        <f>SUM(I923:I929)</f>
        <v>14555</v>
      </c>
      <c r="J922" s="275">
        <f>SUM(J923:J929)</f>
        <v>0</v>
      </c>
      <c r="K922" s="276">
        <f>SUM(K923:K929)</f>
        <v>0</v>
      </c>
      <c r="L922" s="273">
        <f>SUM(L923:L929)</f>
        <v>14555</v>
      </c>
      <c r="M922" s="12">
        <f>(IF($E922&lt;&gt;0,$M$2,IF($L922&lt;&gt;0,$M$2,"")))</f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8813</v>
      </c>
      <c r="F923" s="152">
        <v>8813</v>
      </c>
      <c r="G923" s="153"/>
      <c r="H923" s="1418"/>
      <c r="I923" s="152">
        <v>8813</v>
      </c>
      <c r="J923" s="153"/>
      <c r="K923" s="1418"/>
      <c r="L923" s="281">
        <f>I923+J923+K923</f>
        <v>8813</v>
      </c>
      <c r="M923" s="12">
        <f>(IF($E923&lt;&gt;0,$M$2,IF($L923&lt;&gt;0,$M$2,"")))</f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871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3708</v>
      </c>
      <c r="F926" s="158">
        <v>3708</v>
      </c>
      <c r="G926" s="159"/>
      <c r="H926" s="1420"/>
      <c r="I926" s="158">
        <v>3708</v>
      </c>
      <c r="J926" s="159"/>
      <c r="K926" s="1420"/>
      <c r="L926" s="295">
        <f>I926+J926+K926</f>
        <v>3708</v>
      </c>
      <c r="M926" s="12">
        <f>(IF($E926&lt;&gt;0,$M$2,IF($L926&lt;&gt;0,$M$2,"")))</f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2034</v>
      </c>
      <c r="F927" s="158">
        <v>2034</v>
      </c>
      <c r="G927" s="159"/>
      <c r="H927" s="1420"/>
      <c r="I927" s="158">
        <v>2034</v>
      </c>
      <c r="J927" s="159"/>
      <c r="K927" s="1420"/>
      <c r="L927" s="295">
        <f>I927+J927+K927</f>
        <v>2034</v>
      </c>
      <c r="M927" s="12">
        <f>(IF($E927&lt;&gt;0,$M$2,IF($L927&lt;&gt;0,$M$2,"")))</f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07" t="s">
        <v>199</v>
      </c>
      <c r="D930" s="1808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09" t="s">
        <v>200</v>
      </c>
      <c r="D931" s="181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/>
      <c r="K938" s="1428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874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801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3" t="s">
        <v>272</v>
      </c>
      <c r="D949" s="1804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3" t="s">
        <v>722</v>
      </c>
      <c r="D953" s="1804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3" t="s">
        <v>219</v>
      </c>
      <c r="D959" s="1804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3" t="s">
        <v>221</v>
      </c>
      <c r="D962" s="1804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5" t="s">
        <v>222</v>
      </c>
      <c r="D963" s="1806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5" t="s">
        <v>223</v>
      </c>
      <c r="D964" s="1806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5" t="s">
        <v>1662</v>
      </c>
      <c r="D965" s="1806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3" t="s">
        <v>224</v>
      </c>
      <c r="D966" s="1804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715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1659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3" t="s">
        <v>234</v>
      </c>
      <c r="D981" s="1804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3" t="s">
        <v>235</v>
      </c>
      <c r="D982" s="1804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3" t="s">
        <v>236</v>
      </c>
      <c r="D983" s="1804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3" t="s">
        <v>237</v>
      </c>
      <c r="D984" s="1804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3" t="s">
        <v>1663</v>
      </c>
      <c r="D991" s="1804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3" t="s">
        <v>1660</v>
      </c>
      <c r="D995" s="1804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3" t="s">
        <v>1661</v>
      </c>
      <c r="D996" s="1804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5" t="s">
        <v>247</v>
      </c>
      <c r="D997" s="1806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3" t="s">
        <v>273</v>
      </c>
      <c r="D998" s="1804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1" t="s">
        <v>248</v>
      </c>
      <c r="D1001" s="1802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801" t="s">
        <v>249</v>
      </c>
      <c r="D1002" s="1802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1" t="s">
        <v>625</v>
      </c>
      <c r="D1010" s="1802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1" t="s">
        <v>685</v>
      </c>
      <c r="D1013" s="1802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3" t="s">
        <v>686</v>
      </c>
      <c r="D1014" s="1804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6" t="s">
        <v>915</v>
      </c>
      <c r="D1019" s="1797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798" t="s">
        <v>694</v>
      </c>
      <c r="D1023" s="1799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798" t="s">
        <v>694</v>
      </c>
      <c r="D1024" s="1799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89734</v>
      </c>
      <c r="F1028" s="396">
        <f>SUM(F913,F916,F922,F930,F931,F949,F953,F959,F962,F963,F964,F965,F966,F975,F981,F982,F983,F984,F991,F995,F996,F997,F998,F1001,F1002,F1010,F1013,F1014,F1019)+F1024</f>
        <v>89734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89734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89734</v>
      </c>
      <c r="M1028" s="12">
        <f>(IF($E1028&lt;&gt;0,$M$2,IF($L1028&lt;&gt;0,$M$2,"")))</f>
        <v>1</v>
      </c>
      <c r="N1028" s="73" t="str">
        <f>LEFT(C910,1)</f>
        <v>5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